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données de base" sheetId="1" r:id="rId1"/>
    <sheet name="bail" sheetId="2" r:id="rId2"/>
    <sheet name="data" sheetId="3" r:id="rId3"/>
    <sheet name="tri" sheetId="4" r:id="rId4"/>
  </sheets>
  <definedNames/>
  <calcPr fullCalcOnLoad="1" iterate="1" iterateCount="100" iterateDelta="0.001"/>
</workbook>
</file>

<file path=xl/comments3.xml><?xml version="1.0" encoding="utf-8"?>
<comments xmlns="http://schemas.openxmlformats.org/spreadsheetml/2006/main">
  <authors>
    <author>ratcliffe</author>
  </authors>
  <commentList>
    <comment ref="A20" authorId="0">
      <text>
        <r>
          <rPr>
            <b/>
            <sz val="8"/>
            <color indexed="8"/>
            <rFont val="Tahoma"/>
            <family val="0"/>
          </rPr>
          <t>chef de site</t>
        </r>
        <r>
          <rPr>
            <sz val="8"/>
            <color indexed="8"/>
            <rFont val="Tahoma"/>
            <family val="0"/>
          </rPr>
          <t xml:space="preserve">
</t>
        </r>
      </text>
    </comment>
    <comment ref="A21" authorId="0">
      <text>
        <r>
          <rPr>
            <b/>
            <sz val="8"/>
            <color indexed="8"/>
            <rFont val="Tahoma"/>
            <family val="0"/>
          </rPr>
          <t>chef de site adjoint</t>
        </r>
        <r>
          <rPr>
            <sz val="8"/>
            <color indexed="8"/>
            <rFont val="Tahoma"/>
            <family val="0"/>
          </rPr>
          <t xml:space="preserve">
</t>
        </r>
      </text>
    </comment>
    <comment ref="A22" authorId="0">
      <text>
        <r>
          <rPr>
            <sz val="8"/>
            <color indexed="8"/>
            <rFont val="Tahoma"/>
            <family val="0"/>
          </rPr>
          <t xml:space="preserve">techniciens électriciens
</t>
        </r>
      </text>
    </comment>
    <comment ref="A23" authorId="0">
      <text>
        <r>
          <rPr>
            <b/>
            <sz val="8"/>
            <color indexed="8"/>
            <rFont val="Tahoma"/>
            <family val="0"/>
          </rPr>
          <t>deux pour l'entretien du terrain</t>
        </r>
        <r>
          <rPr>
            <sz val="8"/>
            <color indexed="8"/>
            <rFont val="Tahoma"/>
            <family val="0"/>
          </rPr>
          <t xml:space="preserve">
</t>
        </r>
      </text>
    </comment>
    <comment ref="F28" authorId="0">
      <text>
        <r>
          <rPr>
            <b/>
            <sz val="8"/>
            <color indexed="8"/>
            <rFont val="Tahoma"/>
            <family val="0"/>
          </rPr>
          <t xml:space="preserve">Photosol va développer avec la Communauté de Communes Cévennes Actives une centrale photovoltaïque de 7 MWc. (source : alerte du moniteur.fr) Cette installation sera implantée autour du Centre de Stockage des Déchets Ultimes (CSDU) de Bordezac, dans le Gard, géré par laCommunauté de Communes CévennesActives. La centrale, d'un coût de 23 Me, devrait assurer une production de 7 600 MWh par an, l'équivalent de la consommation annuelle de foyers de la Communauté de Communes (6 500 habitants), hors chauffage, précise Photosol dans un communiqué. &gt;&gt;&gt;&gt;&gt;&gt;&gt;&gt;&gt;&gt;&gt;&gt;&gt;&gt; Le coût d'investissement est donc de 3.28€/Wc et le nombre d'heures de marche à pleine charge est de 7600/7=1086; et au hors chauffage il faut ajouter la consommation électrique des habitants dans toutes les infrastructures de la communauté </t>
        </r>
        <r>
          <rPr>
            <sz val="8"/>
            <color indexed="8"/>
            <rFont val="Tahoma"/>
            <family val="0"/>
          </rPr>
          <t xml:space="preserve">
</t>
        </r>
      </text>
    </comment>
  </commentList>
</comments>
</file>

<file path=xl/sharedStrings.xml><?xml version="1.0" encoding="utf-8"?>
<sst xmlns="http://schemas.openxmlformats.org/spreadsheetml/2006/main" count="92" uniqueCount="70">
  <si>
    <t xml:space="preserve">Données du calcul </t>
  </si>
  <si>
    <t>Calcul du TRI</t>
  </si>
  <si>
    <t>Tarifs d'achat 2010</t>
  </si>
  <si>
    <t>Projet Callian Eneryo (données de base)</t>
  </si>
  <si>
    <t>capacité kWc</t>
  </si>
  <si>
    <t>heures de marche h/an</t>
  </si>
  <si>
    <t>Sisteron</t>
  </si>
  <si>
    <t>production GWh</t>
  </si>
  <si>
    <t>M€</t>
  </si>
  <si>
    <t>modules</t>
  </si>
  <si>
    <t>W/module</t>
  </si>
  <si>
    <t>prix de vente €/kWh</t>
  </si>
  <si>
    <t>MWc</t>
  </si>
  <si>
    <t>hectares</t>
  </si>
  <si>
    <t>un tiers</t>
  </si>
  <si>
    <t>recette annuelle M€</t>
  </si>
  <si>
    <t>€/Wc</t>
  </si>
  <si>
    <t>Solaire Direct</t>
  </si>
  <si>
    <t>h/an</t>
  </si>
  <si>
    <t>investissement €/Wc</t>
  </si>
  <si>
    <t>GWh</t>
  </si>
  <si>
    <t>investissement M€</t>
  </si>
  <si>
    <t>€/kWh</t>
  </si>
  <si>
    <t>M€/an</t>
  </si>
  <si>
    <t>coût d'exploitation annuel</t>
  </si>
  <si>
    <t>redevance Callian €/hectare (cf. bail)</t>
  </si>
  <si>
    <t>hectares pris par le bailleur Eneryo</t>
  </si>
  <si>
    <t>redevance payée au bailleur M€</t>
  </si>
  <si>
    <t>taxe professionnelle M€</t>
  </si>
  <si>
    <t>Vinon/verdon</t>
  </si>
  <si>
    <t>salaire médian + 45% charges sociales €/an</t>
  </si>
  <si>
    <t>- personnel 5 référence salaire médian français</t>
  </si>
  <si>
    <t>- un salaire médian*1.6</t>
  </si>
  <si>
    <t>- un salaire médian*1.3</t>
  </si>
  <si>
    <t>- deux salaire médian*1</t>
  </si>
  <si>
    <t>- un salaire médian 0.8</t>
  </si>
  <si>
    <t>- coût technique personnel M€/an</t>
  </si>
  <si>
    <t>frais généraux société %</t>
  </si>
  <si>
    <t>coût total personnel M€/an</t>
  </si>
  <si>
    <t>sous total d'exploitation M€/an</t>
  </si>
  <si>
    <t>fournitures</t>
  </si>
  <si>
    <t>Cevennes</t>
  </si>
  <si>
    <t>diesel et carburants 10% du sous total</t>
  </si>
  <si>
    <t>divers non estimés 10%</t>
  </si>
  <si>
    <t>Photosol</t>
  </si>
  <si>
    <t>total coûts d'exploitation M€/an</t>
  </si>
  <si>
    <t>site PV agricole</t>
  </si>
  <si>
    <t>PVGIS Estimation d'électricité PV selon situation géographique</t>
  </si>
  <si>
    <t>INES Education - Logiciel CALSOL - Estimation de la production PV injectée dans le réseau  et rentabilité</t>
  </si>
  <si>
    <t>Le photovoltaïque : les filières, les marchés, les perspectives</t>
  </si>
  <si>
    <t>Mon hangar PV sera-t-il rentable?</t>
  </si>
  <si>
    <t>recette annuelle</t>
  </si>
  <si>
    <t>coût d'exploitation</t>
  </si>
  <si>
    <t>marge brute</t>
  </si>
  <si>
    <t>investissement</t>
  </si>
  <si>
    <t>taux d'actualisation %</t>
  </si>
  <si>
    <t>VAN €/an</t>
  </si>
  <si>
    <t>effet levier fonds propres/marchés financiers</t>
  </si>
  <si>
    <t>taux marchés financiers (banques ou obligations)</t>
  </si>
  <si>
    <t>taux de rentabilité des FP</t>
  </si>
  <si>
    <t>Photovoltaïque Info</t>
  </si>
  <si>
    <t>Dossier Eneryo de mon site pays de Fayence</t>
  </si>
  <si>
    <t>TRI% sur 20 ans</t>
  </si>
  <si>
    <t>Comparaisons</t>
  </si>
  <si>
    <t>Calcul du taux de rentabilité interne sur 20 ans
(les montants sont en millions d'€)</t>
  </si>
  <si>
    <t>cash flow annuel</t>
  </si>
  <si>
    <t>Plaidoyer pour une deuxième ferme photovoltaïque en pays de Fayence</t>
  </si>
  <si>
    <t xml:space="preserve">Si vous n'êtes pas familier avec les calculs économiques voir ce cours. </t>
  </si>
  <si>
    <t>TRI Callian Eneryo sur 20 ans</t>
  </si>
  <si>
    <t>Bail</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</si>
</sst>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_-* #,##0.00\ _F_-;\-* #,##0.00\ _F_-;_-* &quot;-&quot;??\ _F_-;_-@_-"/>
    <numFmt numFmtId="169" formatCode="_-* #,##0\ _€_-;\-* #,##0\ _€_-;_-* &quot;-&quot;??\ _€_-;_-@_-"/>
    <numFmt numFmtId="170" formatCode="_-* #,##0.000\ _F_-;\-* #,##0.000\ _F_-;_-* &quot;-&quot;??\ _F_-;_-@_-"/>
    <numFmt numFmtId="171" formatCode="0.0"/>
    <numFmt numFmtId="172" formatCode="_-* #,##0.00_-;\-* #,##0.00_-;_-* &quot;-&quot;??_-;_-@_-"/>
    <numFmt numFmtId="173" formatCode="_-* #,##0.000\ _€_-;\-* #,##0.000\ _€_-;_-* &quot;-&quot;??\ _€_-;_-@_-"/>
    <numFmt numFmtId="174" formatCode="0.0%"/>
    <numFmt numFmtId="175" formatCode="_-* #,##0\ _F_-;\-* #,##0\ _F_-;_-* &quot;-&quot;??\ _F_-;_-@_-"/>
    <numFmt numFmtId="176" formatCode="_-* #,##0.0\ _€_-;\-* #,##0.0\ _€_-;_-* &quot;-&quot;??\ _€_-;_-@_-"/>
  </numFmts>
  <fonts count="20">
    <font>
      <sz val="10"/>
      <name val="Arial"/>
      <family val="0"/>
    </font>
    <font>
      <u val="single"/>
      <sz val="10"/>
      <color indexed="12"/>
      <name val="Arial"/>
      <family val="0"/>
    </font>
    <font>
      <b/>
      <u val="single"/>
      <sz val="10"/>
      <name val="CG Times (W1)"/>
      <family val="0"/>
    </font>
    <font>
      <u val="single"/>
      <sz val="10"/>
      <color indexed="20"/>
      <name val="Arial"/>
      <family val="0"/>
    </font>
    <font>
      <b/>
      <sz val="10"/>
      <color indexed="10"/>
      <name val="Arial"/>
      <family val="2"/>
    </font>
    <font>
      <sz val="10"/>
      <color indexed="10"/>
      <name val="Arial"/>
      <family val="2"/>
    </font>
    <font>
      <b/>
      <u val="single"/>
      <sz val="14"/>
      <color indexed="12"/>
      <name val="Arial"/>
      <family val="0"/>
    </font>
    <font>
      <u val="single"/>
      <sz val="14"/>
      <color indexed="12"/>
      <name val="Arial"/>
      <family val="0"/>
    </font>
    <font>
      <sz val="14"/>
      <name val="Arial"/>
      <family val="0"/>
    </font>
    <font>
      <b/>
      <sz val="10"/>
      <color indexed="12"/>
      <name val="Arial"/>
      <family val="2"/>
    </font>
    <font>
      <b/>
      <sz val="8"/>
      <color indexed="8"/>
      <name val="Tahoma"/>
      <family val="0"/>
    </font>
    <font>
      <sz val="8"/>
      <color indexed="8"/>
      <name val="Tahoma"/>
      <family val="0"/>
    </font>
    <font>
      <sz val="8"/>
      <name val="Arial"/>
      <family val="0"/>
    </font>
    <font>
      <b/>
      <sz val="10"/>
      <name val="Arial"/>
      <family val="2"/>
    </font>
    <font>
      <b/>
      <u val="single"/>
      <sz val="12"/>
      <color indexed="12"/>
      <name val="Arial"/>
      <family val="2"/>
    </font>
    <font>
      <b/>
      <sz val="12"/>
      <color indexed="10"/>
      <name val="Arial"/>
      <family val="2"/>
    </font>
    <font>
      <b/>
      <u val="single"/>
      <sz val="12"/>
      <name val="CG Times (W1)"/>
      <family val="0"/>
    </font>
    <font>
      <b/>
      <u val="single"/>
      <sz val="10"/>
      <color indexed="12"/>
      <name val="Arial"/>
      <family val="2"/>
    </font>
    <font>
      <b/>
      <sz val="12"/>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41"/>
        <bgColor indexed="64"/>
      </patternFill>
    </fill>
  </fills>
  <borders count="1">
    <border>
      <left/>
      <right/>
      <top/>
      <bottom/>
      <diagonal/>
    </border>
  </borders>
  <cellStyleXfs count="23">
    <xf numFmtId="0" fontId="0" fillId="0" borderId="0" applyFont="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horizontal="center" vertical="center" wrapText="1"/>
      <protection/>
    </xf>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horizontal="right"/>
    </xf>
    <xf numFmtId="0" fontId="0" fillId="0" borderId="0" xfId="0" applyAlignment="1">
      <alignment horizontal="center"/>
    </xf>
    <xf numFmtId="0" fontId="1" fillId="0" borderId="0" xfId="21" applyAlignment="1">
      <alignment horizontal="right"/>
    </xf>
    <xf numFmtId="0" fontId="0" fillId="0" borderId="0" xfId="0" applyAlignment="1">
      <alignment horizontal="left"/>
    </xf>
    <xf numFmtId="0" fontId="1" fillId="0" borderId="0" xfId="21" applyBorder="1" applyAlignment="1">
      <alignment horizontal="left"/>
    </xf>
    <xf numFmtId="168" fontId="0" fillId="0" borderId="0" xfId="16" applyAlignment="1">
      <alignment horizontal="right"/>
    </xf>
    <xf numFmtId="169" fontId="0" fillId="0" borderId="0" xfId="16" applyNumberFormat="1" applyAlignment="1">
      <alignment/>
    </xf>
    <xf numFmtId="168" fontId="0" fillId="0" borderId="0" xfId="16" applyAlignment="1">
      <alignment/>
    </xf>
    <xf numFmtId="0" fontId="1" fillId="0" borderId="0" xfId="21" applyAlignment="1">
      <alignment horizontal="left"/>
    </xf>
    <xf numFmtId="170" fontId="0" fillId="0" borderId="0" xfId="16" applyNumberFormat="1" applyAlignment="1">
      <alignment horizontal="right"/>
    </xf>
    <xf numFmtId="0" fontId="2" fillId="0" borderId="0" xfId="15">
      <alignment horizontal="center" vertical="center" wrapText="1"/>
      <protection/>
    </xf>
    <xf numFmtId="171" fontId="0" fillId="0" borderId="0" xfId="0" applyNumberFormat="1" applyAlignment="1">
      <alignment horizontal="right"/>
    </xf>
    <xf numFmtId="172" fontId="0" fillId="0" borderId="0" xfId="0" applyNumberFormat="1" applyAlignment="1">
      <alignment horizontal="right"/>
    </xf>
    <xf numFmtId="173" fontId="0" fillId="0" borderId="0" xfId="16" applyNumberFormat="1" applyAlignment="1">
      <alignment/>
    </xf>
    <xf numFmtId="0" fontId="0" fillId="0" borderId="0" xfId="0" applyAlignment="1" quotePrefix="1">
      <alignment horizontal="left" indent="2"/>
    </xf>
    <xf numFmtId="0" fontId="0" fillId="0" borderId="0" xfId="0" applyAlignment="1">
      <alignment/>
    </xf>
    <xf numFmtId="9" fontId="0" fillId="0" borderId="0" xfId="22" applyAlignment="1">
      <alignment horizontal="right"/>
    </xf>
    <xf numFmtId="173" fontId="0" fillId="0" borderId="0" xfId="0" applyNumberFormat="1" applyAlignment="1">
      <alignment horizontal="right"/>
    </xf>
    <xf numFmtId="43" fontId="0" fillId="0" borderId="0" xfId="0" applyNumberFormat="1" applyAlignment="1">
      <alignment horizontal="right"/>
    </xf>
    <xf numFmtId="174" fontId="9" fillId="0" borderId="0" xfId="0" applyNumberFormat="1" applyFont="1" applyAlignment="1">
      <alignment horizontal="right"/>
    </xf>
    <xf numFmtId="174" fontId="0" fillId="0" borderId="0" xfId="22" applyNumberFormat="1" applyAlignment="1">
      <alignment horizontal="right"/>
    </xf>
    <xf numFmtId="175" fontId="0" fillId="0" borderId="0" xfId="16" applyNumberFormat="1" applyAlignment="1">
      <alignment horizontal="right"/>
    </xf>
    <xf numFmtId="0" fontId="1" fillId="0" borderId="0" xfId="0" applyAlignment="1">
      <alignment horizontal="right"/>
    </xf>
    <xf numFmtId="40" fontId="0" fillId="0" borderId="0" xfId="0" applyNumberFormat="1" applyAlignment="1">
      <alignment horizontal="right"/>
    </xf>
    <xf numFmtId="0" fontId="13" fillId="0" borderId="0" xfId="0" applyFont="1" applyAlignment="1">
      <alignment horizontal="left" vertical="center"/>
    </xf>
    <xf numFmtId="0" fontId="17" fillId="0" borderId="0" xfId="21" applyFont="1" applyAlignment="1">
      <alignment horizontal="left" vertical="center"/>
    </xf>
    <xf numFmtId="0" fontId="14" fillId="2" borderId="0" xfId="21" applyFont="1" applyFill="1" applyBorder="1" applyAlignment="1">
      <alignment horizontal="center" vertical="center"/>
    </xf>
    <xf numFmtId="0" fontId="8" fillId="2" borderId="0" xfId="0" applyFont="1" applyFill="1" applyAlignment="1">
      <alignment horizontal="center" vertical="center"/>
    </xf>
    <xf numFmtId="0" fontId="6" fillId="3" borderId="0" xfId="21" applyFont="1" applyFill="1" applyBorder="1" applyAlignment="1">
      <alignment horizontal="center"/>
    </xf>
    <xf numFmtId="0" fontId="6" fillId="4" borderId="0" xfId="21" applyFont="1" applyFill="1" applyBorder="1" applyAlignment="1">
      <alignment horizontal="center"/>
    </xf>
    <xf numFmtId="0" fontId="14" fillId="5" borderId="0" xfId="21" applyFont="1" applyFill="1" applyBorder="1" applyAlignment="1">
      <alignment horizontal="left" vertical="center"/>
    </xf>
    <xf numFmtId="0" fontId="7" fillId="2" borderId="0" xfId="0" applyFont="1" applyFill="1" applyAlignment="1">
      <alignment horizontal="left" vertical="center"/>
    </xf>
    <xf numFmtId="0" fontId="7" fillId="6" borderId="0" xfId="0" applyFont="1" applyFill="1" applyAlignment="1">
      <alignment horizontal="left" vertical="center"/>
    </xf>
    <xf numFmtId="0" fontId="16" fillId="2" borderId="0" xfId="15" applyFont="1" applyFill="1" applyAlignment="1">
      <alignment horizontal="center" vertical="center" wrapText="1"/>
      <protection/>
    </xf>
    <xf numFmtId="0" fontId="18" fillId="0" borderId="0" xfId="0" applyFont="1" applyAlignment="1">
      <alignment horizontal="right"/>
    </xf>
    <xf numFmtId="0" fontId="14" fillId="0" borderId="0" xfId="21" applyFont="1" applyAlignment="1">
      <alignment horizontal="center"/>
    </xf>
  </cellXfs>
  <cellStyles count="9">
    <cellStyle name="Normal" xfId="0"/>
    <cellStyle name="centré"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6</xdr:col>
      <xdr:colOff>523875</xdr:colOff>
      <xdr:row>23</xdr:row>
      <xdr:rowOff>104775</xdr:rowOff>
    </xdr:to>
    <xdr:pic>
      <xdr:nvPicPr>
        <xdr:cNvPr id="1" name="Picture 1"/>
        <xdr:cNvPicPr preferRelativeResize="1">
          <a:picLocks noChangeAspect="1"/>
        </xdr:cNvPicPr>
      </xdr:nvPicPr>
      <xdr:blipFill>
        <a:blip r:embed="rId1"/>
        <a:stretch>
          <a:fillRect/>
        </a:stretch>
      </xdr:blipFill>
      <xdr:spPr>
        <a:xfrm>
          <a:off x="28575" y="476250"/>
          <a:ext cx="5981700" cy="3667125"/>
        </a:xfrm>
        <a:prstGeom prst="rect">
          <a:avLst/>
        </a:prstGeom>
        <a:noFill/>
        <a:ln w="9525" cmpd="sng">
          <a:noFill/>
        </a:ln>
      </xdr:spPr>
    </xdr:pic>
    <xdr:clientData/>
  </xdr:twoCellAnchor>
  <xdr:twoCellAnchor>
    <xdr:from>
      <xdr:col>7</xdr:col>
      <xdr:colOff>38100</xdr:colOff>
      <xdr:row>5</xdr:row>
      <xdr:rowOff>133350</xdr:rowOff>
    </xdr:from>
    <xdr:to>
      <xdr:col>13</xdr:col>
      <xdr:colOff>419100</xdr:colOff>
      <xdr:row>22</xdr:row>
      <xdr:rowOff>9525</xdr:rowOff>
    </xdr:to>
    <xdr:sp>
      <xdr:nvSpPr>
        <xdr:cNvPr id="2" name="TextBox 3"/>
        <xdr:cNvSpPr txBox="1">
          <a:spLocks noChangeArrowheads="1"/>
        </xdr:cNvSpPr>
      </xdr:nvSpPr>
      <xdr:spPr>
        <a:xfrm>
          <a:off x="6134100" y="1257300"/>
          <a:ext cx="4038600" cy="262890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Données définitives communiquées par Eneryo sur leur site web après réalisation</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
40188 panneaux PV
puissance installée 7.4 MWc 184Wc/panneau
heures de marche à puissance de crête 1514
investissement 23 millions €
production 11.2GWh/an
</a:t>
          </a:r>
          <a:r>
            <a:rPr lang="en-US" cap="none" sz="1000" b="1" i="0" u="none" baseline="0">
              <a:latin typeface="Arial"/>
              <a:ea typeface="Arial"/>
              <a:cs typeface="Arial"/>
            </a:rPr>
            <a:t>Mes calculs:</a:t>
          </a:r>
          <a:r>
            <a:rPr lang="en-US" cap="none" sz="1000" b="0" i="0" u="none" baseline="0">
              <a:latin typeface="Arial"/>
              <a:ea typeface="Arial"/>
              <a:cs typeface="Arial"/>
            </a:rPr>
            <a:t>
Taux de rentabilité interne sur 20 ans: 12%
Rendement sur fonds propres sur base 1/3 28.2%
à partager avec l'état et la  CdC par la taxation
</a:t>
          </a:r>
        </a:p>
      </xdr:txBody>
    </xdr:sp>
    <xdr:clientData/>
  </xdr:twoCellAnchor>
  <xdr:twoCellAnchor>
    <xdr:from>
      <xdr:col>2</xdr:col>
      <xdr:colOff>466725</xdr:colOff>
      <xdr:row>8</xdr:row>
      <xdr:rowOff>19050</xdr:rowOff>
    </xdr:from>
    <xdr:to>
      <xdr:col>5</xdr:col>
      <xdr:colOff>333375</xdr:colOff>
      <xdr:row>12</xdr:row>
      <xdr:rowOff>38100</xdr:rowOff>
    </xdr:to>
    <xdr:sp>
      <xdr:nvSpPr>
        <xdr:cNvPr id="3" name="TextBox 6"/>
        <xdr:cNvSpPr txBox="1">
          <a:spLocks noChangeArrowheads="1"/>
        </xdr:cNvSpPr>
      </xdr:nvSpPr>
      <xdr:spPr>
        <a:xfrm>
          <a:off x="3514725" y="1628775"/>
          <a:ext cx="1695450" cy="66675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Projet initial présenté à la municipalité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95250</xdr:rowOff>
    </xdr:from>
    <xdr:to>
      <xdr:col>11</xdr:col>
      <xdr:colOff>390525</xdr:colOff>
      <xdr:row>30</xdr:row>
      <xdr:rowOff>9525</xdr:rowOff>
    </xdr:to>
    <xdr:sp>
      <xdr:nvSpPr>
        <xdr:cNvPr id="1" name="TextBox 1"/>
        <xdr:cNvSpPr txBox="1">
          <a:spLocks noChangeArrowheads="1"/>
        </xdr:cNvSpPr>
      </xdr:nvSpPr>
      <xdr:spPr>
        <a:xfrm>
          <a:off x="685800" y="257175"/>
          <a:ext cx="6410325" cy="461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Dans la promesse de bail il était question d’un loyer de 2 500 € l’hectare. Cependant, dans le bail emphytéotique définitif daté du 20 mai 2010, la valeur de la redevance a été révisée conformément à l’article 9.6, de la façon suivante :
-          Le tarif d’achat déterminé par l’arrêté du 10 juillet 2006, fixant les conditions d’achat de l’électricité produite par les installations utilisant l’énergie radiative, a été porté à 6000 € l’hectare, soit un montant de 126 000 €, puisque la superficie est égale à 21,3 hectares.
Ce montant est révisé à chaque date anniversaire par l’application du coefficient ci-dessous :
L = 0,4 + 0,3 (ICHTrev-TS/ICHTrev-TSo) + 0,3 (FMOABE0000/F%PABE000o)
Formule dans laquelle :
1-      ICHTrev-TS est la valeur définitive de la dernière valeur connue à la date anniversaire de la mise en service de l’installation de l’indice du coût horaire du travail révisé (tous salariés) dans les industries mécaniques et électriques ;
2-      FM0ABE0000 est la valeur définitive de la dernière valeur connue à la date anniversaire de la mise en service de l’installation de l’indice des prix à la production de l’industrie française pour le marché français – ensemble de l’industrie – A10BE  - prix départ usine ;
3-      ICHTrev-TSo et FM0ABE0000o sont les valeurs définitives des dernières valeurs connues à la date de prise d’effet du contrat d’achat.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8</xdr:row>
      <xdr:rowOff>76200</xdr:rowOff>
    </xdr:from>
    <xdr:to>
      <xdr:col>14</xdr:col>
      <xdr:colOff>542925</xdr:colOff>
      <xdr:row>27</xdr:row>
      <xdr:rowOff>38100</xdr:rowOff>
    </xdr:to>
    <xdr:sp>
      <xdr:nvSpPr>
        <xdr:cNvPr id="1" name="TextBox 2"/>
        <xdr:cNvSpPr txBox="1">
          <a:spLocks noChangeArrowheads="1"/>
        </xdr:cNvSpPr>
      </xdr:nvSpPr>
      <xdr:spPr>
        <a:xfrm>
          <a:off x="4752975" y="1743075"/>
          <a:ext cx="7048500" cy="3305175"/>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 taux de rentabilité interne du projet sur 20 ans,est de 12% soit un taux supérieur au taux d'actualisation (8%) admis par l'ancien commissariat au plan pour les projets d'infrastructure et d'énergie. En supposant que le financement de l'investissement est  assuré à 1/3 par des fonds propres, et 2/3 par les marchés financiers au taux long de 8%, le taux de rentabilité des capitaux propres ressort à 28.2% ce qui est élevé. C'est ce taux qui rémunère le capital propre investi, paie les taxes, et crée un surplus de capital.  La subvention de l'état au photovoltaïque est de l'ordre de 22cts€/kwh (25cts/kWh, mais moins ce que l'EDF gagne en coûts de distribution par ses lignes HT et THT  estimé à 1.5cts€/kWh - coût d'acheminement de l'électricité sur factures EDF 46% moyen sur tarif bleu de 0.03€/kWh). C'est cette subvention qui permet la rentabilité de 12% à l'investisseur privé, l'accumulation de capital et l'utilisation pour d'autres projets.
Sur 30 ans le TRI est de 13.1% et sur FP la rentabilité de 31.4% avec tx du marché financier de 6% (31.4% avec taux de 4%).</a:t>
          </a:r>
          <a:r>
            <a:rPr lang="en-US" cap="none" sz="1000" b="0" i="0" u="none" baseline="0">
              <a:solidFill>
                <a:srgbClr val="FF0000"/>
              </a:solidFill>
              <a:latin typeface="Arial"/>
              <a:ea typeface="Arial"/>
              <a:cs typeface="Arial"/>
            </a:rPr>
            <a:t>
</a:t>
          </a:r>
          <a:r>
            <a:rPr lang="en-US" cap="none" sz="1000" b="1" i="0" u="none" baseline="0">
              <a:solidFill>
                <a:srgbClr val="0000FF"/>
              </a:solidFill>
              <a:latin typeface="Arial"/>
              <a:ea typeface="Arial"/>
              <a:cs typeface="Arial"/>
            </a:rPr>
            <a:t>L'intérêt de cette étude est de montrer que le prix de vente de 0.314€/kWh équilibre le projet; on compte que le coût des modules PV va baisser à l'avenir. Le coût cité est de 4€/Wc. </a:t>
          </a:r>
          <a:r>
            <a:rPr lang="en-US" cap="none" sz="1000" b="0" i="0" u="none" baseline="0">
              <a:solidFill>
                <a:srgbClr val="FF0000"/>
              </a:solidFill>
              <a:latin typeface="Arial"/>
              <a:ea typeface="Arial"/>
              <a:cs typeface="Arial"/>
            </a:rPr>
            <a:t>
Mais la question est  la suivante: comment font-ils  en Allemagne où le prix de rachat du kWh est seulement de 18cts€/kWh. Car si c'était le cas, le taux de rentabilité interne serait seulement de 6%.</a:t>
          </a:r>
        </a:p>
      </xdr:txBody>
    </xdr:sp>
    <xdr:clientData/>
  </xdr:twoCellAnchor>
  <xdr:twoCellAnchor>
    <xdr:from>
      <xdr:col>0</xdr:col>
      <xdr:colOff>66675</xdr:colOff>
      <xdr:row>14</xdr:row>
      <xdr:rowOff>76200</xdr:rowOff>
    </xdr:from>
    <xdr:to>
      <xdr:col>3</xdr:col>
      <xdr:colOff>66675</xdr:colOff>
      <xdr:row>23</xdr:row>
      <xdr:rowOff>19050</xdr:rowOff>
    </xdr:to>
    <xdr:sp>
      <xdr:nvSpPr>
        <xdr:cNvPr id="2" name="TextBox 3"/>
        <xdr:cNvSpPr txBox="1">
          <a:spLocks noChangeArrowheads="1"/>
        </xdr:cNvSpPr>
      </xdr:nvSpPr>
      <xdr:spPr>
        <a:xfrm>
          <a:off x="66675" y="2714625"/>
          <a:ext cx="455295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Si l'effet levier d'Eneryo était de 6.7 (15% de fonds propres),  la rentablité sur FP serait 57.3% ce qui est élevé.  C'est la collectivité qui, par le prix de rachat de l'électricité, et le faible taux d'intérêt cad. le choix d'allouer des ressources financières de manière privilégiée à ce type de projet, qui assure à l'investisseur privé cette haute rentabilité; le surplus monétaire peut être utilisé pour l'accumulation de capital et d'autres projets.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ysdefayence.free.fr/Callian/eneryo/" TargetMode="External" /><Relationship Id="rId2" Type="http://schemas.openxmlformats.org/officeDocument/2006/relationships/hyperlink" Target="Arrete_Conditions_achat_electricite_14012010.pdf" TargetMode="External" /><Relationship Id="rId3" Type="http://schemas.openxmlformats.org/officeDocument/2006/relationships/hyperlink" Target="http://paysdefayence.free.fr/Callian/eneryo/" TargetMode="External" /><Relationship Id="rId4" Type="http://schemas.openxmlformats.org/officeDocument/2006/relationships/hyperlink" Target="http://paysdefayence.free.fr/Callian/eneryo/Arrete_Conditions_achat_electricite_14012010.pdf" TargetMode="External" /><Relationship Id="rId5" Type="http://schemas.openxmlformats.org/officeDocument/2006/relationships/hyperlink" Target="http://pratclif.com/mines/econ/econ.ht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Arrete_Conditions_achat_electricite_14012010.pdf" TargetMode="External" /><Relationship Id="rId2" Type="http://schemas.openxmlformats.org/officeDocument/2006/relationships/hyperlink" Target="http://bit.ly/2lL9v6c" TargetMode="External" /><Relationship Id="rId3" Type="http://schemas.openxmlformats.org/officeDocument/2006/relationships/hyperlink" Target="http://bit.ly/2lLaenR" TargetMode="External" /><Relationship Id="rId4" Type="http://schemas.openxmlformats.org/officeDocument/2006/relationships/hyperlink" Target="http://www.photovoltaique.info/Couts-d-investissement.html" TargetMode="External" /><Relationship Id="rId5" Type="http://schemas.openxmlformats.org/officeDocument/2006/relationships/hyperlink" Target="http://photosol.fr/index.php?p=volta" TargetMode="External" /><Relationship Id="rId6" Type="http://schemas.openxmlformats.org/officeDocument/2006/relationships/hyperlink" Target="http://pvagri.canalblog.com/archives/accueil/index.html" TargetMode="External" /><Relationship Id="rId7" Type="http://schemas.openxmlformats.org/officeDocument/2006/relationships/hyperlink" Target="http://bit.ly/2lLs3Dl" TargetMode="External" /><Relationship Id="rId8" Type="http://schemas.openxmlformats.org/officeDocument/2006/relationships/hyperlink" Target="http://ines.solaire.free.fr/pvreseau_1.php" TargetMode="External" /><Relationship Id="rId9" Type="http://schemas.openxmlformats.org/officeDocument/2006/relationships/hyperlink" Target="http://sfp.in2p3.fr/Debat/debat_energie/websfp/jourde.htm" TargetMode="External" /><Relationship Id="rId10" Type="http://schemas.openxmlformats.org/officeDocument/2006/relationships/hyperlink" Target="33598690.htm" TargetMode="External" /><Relationship Id="rId11" Type="http://schemas.openxmlformats.org/officeDocument/2006/relationships/hyperlink" Target="http://pratclif.com/mines/econ/econ.htm" TargetMode="External" /><Relationship Id="rId12" Type="http://schemas.openxmlformats.org/officeDocument/2006/relationships/comments" Target="../comments3.xml" /><Relationship Id="rId1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pratclif.com/mines/econ/econ.htm"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0"/>
  <sheetViews>
    <sheetView tabSelected="1" workbookViewId="0" topLeftCell="A1">
      <selection activeCell="A1" sqref="A1:N1"/>
    </sheetView>
  </sheetViews>
  <sheetFormatPr defaultColWidth="9.140625" defaultRowHeight="12.75"/>
  <cols>
    <col min="1" max="1" width="36.57421875" style="1" customWidth="1"/>
  </cols>
  <sheetData>
    <row r="1" spans="1:14" ht="37.5" customHeight="1">
      <c r="A1" s="27" t="s">
        <v>66</v>
      </c>
      <c r="B1" s="27"/>
      <c r="C1" s="27"/>
      <c r="D1" s="27"/>
      <c r="E1" s="27"/>
      <c r="F1" s="27"/>
      <c r="G1" s="27"/>
      <c r="H1" s="27"/>
      <c r="I1" s="27"/>
      <c r="J1" s="27"/>
      <c r="K1" s="27"/>
      <c r="L1" s="27"/>
      <c r="M1" s="27"/>
      <c r="N1" s="27"/>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c r="G21" s="2"/>
    </row>
    <row r="22" ht="12.75"/>
    <row r="23" ht="12.75"/>
    <row r="24" ht="12.75"/>
    <row r="26" spans="1:3" ht="18">
      <c r="A26" s="28" t="s">
        <v>0</v>
      </c>
      <c r="B26" s="28"/>
      <c r="C26" s="28"/>
    </row>
    <row r="27" spans="1:6" ht="18">
      <c r="A27" s="29" t="s">
        <v>1</v>
      </c>
      <c r="B27" s="29"/>
      <c r="C27" s="29"/>
      <c r="F27" s="25" t="s">
        <v>67</v>
      </c>
    </row>
    <row r="28" spans="1:6" ht="20.25" customHeight="1">
      <c r="A28" s="30" t="s">
        <v>61</v>
      </c>
      <c r="B28" s="30"/>
      <c r="C28" s="30"/>
      <c r="F28" s="3"/>
    </row>
    <row r="29" spans="1:2" ht="24" customHeight="1">
      <c r="A29" s="26" t="s">
        <v>2</v>
      </c>
      <c r="B29" s="26"/>
    </row>
    <row r="30" spans="1:6" ht="18.75" customHeight="1">
      <c r="A30" s="35" t="s">
        <v>69</v>
      </c>
      <c r="F30" s="34"/>
    </row>
  </sheetData>
  <mergeCells count="5">
    <mergeCell ref="A29:B29"/>
    <mergeCell ref="A1:N1"/>
    <mergeCell ref="A26:C26"/>
    <mergeCell ref="A27:C27"/>
    <mergeCell ref="A28:C28"/>
  </mergeCells>
  <hyperlinks>
    <hyperlink ref="A26" location="data!A1" display="data!A1"/>
    <hyperlink ref="A27" location="tri!A1" display="tri!A1"/>
    <hyperlink ref="A28" r:id="rId1" display="http://paysdefayence.free.fr/Callian/eneryo/"/>
    <hyperlink ref="A29" r:id="rId2" display="Arrete_Conditions_achat_electricite_14012010.pdf"/>
    <hyperlink ref="A28:C28" r:id="rId3" display="Dossier Eneryo de mon site pays de Fayence"/>
    <hyperlink ref="A29:B29" r:id="rId4" display="Tarifs d'achat 2010"/>
    <hyperlink ref="F27" r:id="rId5" display="Si vous n'êtes pas familier avec les calculs économiques voir ce cours. "/>
    <hyperlink ref="A30" location="bail!A1" display="Bail"/>
  </hyperlinks>
  <printOptions/>
  <pageMargins left="0.75" right="0.75" top="1" bottom="1" header="0.5" footer="0.5"/>
  <pageSetup orientation="portrait" paperSize="9" r:id="rId7"/>
  <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N42"/>
  <sheetViews>
    <sheetView workbookViewId="0" topLeftCell="A12">
      <selection activeCell="A36" sqref="A36"/>
    </sheetView>
  </sheetViews>
  <sheetFormatPr defaultColWidth="9.140625" defaultRowHeight="12.75"/>
  <cols>
    <col min="1" max="1" width="44.00390625" style="3" customWidth="1"/>
    <col min="2" max="2" width="14.57421875" style="0" customWidth="1"/>
    <col min="10" max="10" width="9.57421875" style="0" customWidth="1"/>
    <col min="11" max="11" width="9.28125" style="0" customWidth="1"/>
  </cols>
  <sheetData>
    <row r="1" spans="1:8" ht="30" customHeight="1">
      <c r="A1" s="31" t="s">
        <v>3</v>
      </c>
      <c r="B1" s="31"/>
      <c r="C1" s="31"/>
      <c r="D1" s="31"/>
      <c r="E1" s="32" t="s">
        <v>63</v>
      </c>
      <c r="F1" s="32" t="s">
        <v>63</v>
      </c>
      <c r="G1" s="32"/>
      <c r="H1" s="32"/>
    </row>
    <row r="2" spans="1:2" ht="12.75">
      <c r="A2" s="3" t="s">
        <v>4</v>
      </c>
      <c r="B2" s="6">
        <v>7400</v>
      </c>
    </row>
    <row r="3" spans="1:9" ht="12.75">
      <c r="A3" s="3" t="s">
        <v>5</v>
      </c>
      <c r="B3" s="6">
        <v>1513.5135135135135</v>
      </c>
      <c r="F3" s="22" t="s">
        <v>6</v>
      </c>
      <c r="H3" s="22"/>
      <c r="I3" s="4"/>
    </row>
    <row r="4" spans="1:11" ht="12.75">
      <c r="A4" s="3" t="s">
        <v>7</v>
      </c>
      <c r="B4" s="7">
        <f>0.000001*B2*B3</f>
        <v>11.2</v>
      </c>
      <c r="F4">
        <v>18</v>
      </c>
      <c r="G4" t="s">
        <v>8</v>
      </c>
      <c r="H4">
        <v>18960</v>
      </c>
      <c r="I4" t="s">
        <v>9</v>
      </c>
      <c r="J4" s="5">
        <f>F4*1000000/H4</f>
        <v>949.367088607595</v>
      </c>
      <c r="K4" t="s">
        <v>10</v>
      </c>
    </row>
    <row r="5" spans="1:10" ht="12.75">
      <c r="A5" s="8" t="s">
        <v>11</v>
      </c>
      <c r="B5" s="9">
        <v>0.314</v>
      </c>
      <c r="F5">
        <v>8</v>
      </c>
      <c r="G5" t="s">
        <v>12</v>
      </c>
      <c r="H5">
        <v>16</v>
      </c>
      <c r="I5" t="s">
        <v>13</v>
      </c>
      <c r="J5" t="s">
        <v>14</v>
      </c>
    </row>
    <row r="6" spans="1:9" ht="12.75">
      <c r="A6" s="10" t="s">
        <v>15</v>
      </c>
      <c r="B6" s="7">
        <f>B4*B5</f>
        <v>3.5168</v>
      </c>
      <c r="F6" s="9">
        <f>F4/F5</f>
        <v>2.25</v>
      </c>
      <c r="G6" t="s">
        <v>16</v>
      </c>
      <c r="H6" s="4" t="s">
        <v>17</v>
      </c>
      <c r="I6" s="4"/>
    </row>
    <row r="7" spans="6:7" ht="12.75">
      <c r="F7">
        <v>1430</v>
      </c>
      <c r="G7" t="s">
        <v>18</v>
      </c>
    </row>
    <row r="8" spans="1:7" ht="12.75">
      <c r="A8" s="3" t="s">
        <v>19</v>
      </c>
      <c r="B8" s="5">
        <v>3.1081081081081083</v>
      </c>
      <c r="F8" s="11">
        <f>F5*F7/1000</f>
        <v>11.44</v>
      </c>
      <c r="G8" t="s">
        <v>20</v>
      </c>
    </row>
    <row r="9" spans="1:12" ht="12.75">
      <c r="A9" s="10" t="s">
        <v>21</v>
      </c>
      <c r="B9" s="7">
        <f>B2*B8*0.001</f>
        <v>23</v>
      </c>
      <c r="F9">
        <v>0.314</v>
      </c>
      <c r="G9" t="s">
        <v>22</v>
      </c>
      <c r="L9" s="12"/>
    </row>
    <row r="10" spans="6:7" ht="12.75">
      <c r="F10" s="5">
        <f>F8*F9</f>
        <v>3.59216</v>
      </c>
      <c r="G10" t="s">
        <v>23</v>
      </c>
    </row>
    <row r="11" ht="12.75"/>
    <row r="12" ht="12.75">
      <c r="A12" s="10" t="s">
        <v>24</v>
      </c>
    </row>
    <row r="13" spans="1:5" ht="12.75">
      <c r="A13" s="3" t="s">
        <v>25</v>
      </c>
      <c r="B13" s="6">
        <v>6000</v>
      </c>
      <c r="E13" s="25" t="s">
        <v>67</v>
      </c>
    </row>
    <row r="14" spans="1:5" ht="12.75">
      <c r="A14" s="3" t="s">
        <v>26</v>
      </c>
      <c r="B14">
        <v>21.3</v>
      </c>
      <c r="E14" s="3"/>
    </row>
    <row r="15" spans="1:2" ht="12.75">
      <c r="A15" s="3" t="s">
        <v>27</v>
      </c>
      <c r="B15" s="13">
        <f>B13*B14*0.000001</f>
        <v>0.1278</v>
      </c>
    </row>
    <row r="16" spans="1:2" ht="12.75">
      <c r="A16" s="3" t="s">
        <v>28</v>
      </c>
      <c r="B16" s="13">
        <v>0.15</v>
      </c>
    </row>
    <row r="17" spans="2:6" ht="12.75">
      <c r="B17" s="13"/>
      <c r="F17" s="22" t="s">
        <v>29</v>
      </c>
    </row>
    <row r="18" spans="1:7" ht="12.75">
      <c r="A18" s="3" t="s">
        <v>30</v>
      </c>
      <c r="B18" s="6">
        <f>12*1500*1.45</f>
        <v>26100</v>
      </c>
      <c r="F18">
        <v>18</v>
      </c>
      <c r="G18" t="s">
        <v>8</v>
      </c>
    </row>
    <row r="19" spans="1:11" ht="12.75">
      <c r="A19" s="14" t="s">
        <v>31</v>
      </c>
      <c r="F19">
        <v>4.2</v>
      </c>
      <c r="G19" t="s">
        <v>12</v>
      </c>
      <c r="H19">
        <v>18960</v>
      </c>
      <c r="I19" t="s">
        <v>9</v>
      </c>
      <c r="J19" s="5">
        <f>F19*1000000/H19</f>
        <v>221.51898734177215</v>
      </c>
      <c r="K19" t="s">
        <v>10</v>
      </c>
    </row>
    <row r="20" spans="1:9" ht="12.75">
      <c r="A20" s="14" t="s">
        <v>32</v>
      </c>
      <c r="B20" s="6"/>
      <c r="F20" s="9">
        <f>F18/F19</f>
        <v>4.285714285714286</v>
      </c>
      <c r="G20" t="s">
        <v>16</v>
      </c>
      <c r="H20">
        <v>9.2</v>
      </c>
      <c r="I20" t="s">
        <v>13</v>
      </c>
    </row>
    <row r="21" spans="1:9" ht="12.75">
      <c r="A21" s="14" t="s">
        <v>33</v>
      </c>
      <c r="B21" s="6"/>
      <c r="F21">
        <v>1430</v>
      </c>
      <c r="G21" t="s">
        <v>18</v>
      </c>
      <c r="H21" s="4" t="s">
        <v>17</v>
      </c>
      <c r="I21" s="4"/>
    </row>
    <row r="22" spans="1:7" ht="12.75">
      <c r="A22" s="14" t="s">
        <v>34</v>
      </c>
      <c r="B22" s="6">
        <f>2*B18</f>
        <v>52200</v>
      </c>
      <c r="F22" s="11">
        <f>F19*F21/1000</f>
        <v>6.006</v>
      </c>
      <c r="G22" t="s">
        <v>20</v>
      </c>
    </row>
    <row r="23" spans="1:7" ht="12.75">
      <c r="A23" s="14" t="s">
        <v>35</v>
      </c>
      <c r="B23" s="6"/>
      <c r="F23">
        <v>0.32</v>
      </c>
      <c r="G23" t="s">
        <v>22</v>
      </c>
    </row>
    <row r="24" spans="1:7" ht="12.75">
      <c r="A24" s="14" t="s">
        <v>36</v>
      </c>
      <c r="B24" s="13">
        <f>0.000001*SUM(B20:B23)</f>
        <v>0.052199999999999996</v>
      </c>
      <c r="F24" s="5">
        <f>F22*F23</f>
        <v>1.92192</v>
      </c>
      <c r="G24" t="s">
        <v>23</v>
      </c>
    </row>
    <row r="25" spans="1:2" ht="12.75">
      <c r="A25" s="15" t="s">
        <v>37</v>
      </c>
      <c r="B25" s="16">
        <v>0.6</v>
      </c>
    </row>
    <row r="26" spans="1:6" ht="12.75">
      <c r="A26" s="3" t="s">
        <v>38</v>
      </c>
      <c r="B26" s="17">
        <f>B24*(1+B25)</f>
        <v>0.08352</v>
      </c>
      <c r="F26" s="2" t="s">
        <v>60</v>
      </c>
    </row>
    <row r="27" spans="1:2" ht="12.75">
      <c r="A27" s="3" t="s">
        <v>39</v>
      </c>
      <c r="B27" s="18">
        <f>B15+B16+B26</f>
        <v>0.36132</v>
      </c>
    </row>
    <row r="28" spans="1:7" ht="12.75">
      <c r="A28" s="10" t="s">
        <v>40</v>
      </c>
      <c r="B28" s="17"/>
      <c r="F28" t="s">
        <v>41</v>
      </c>
      <c r="G28" s="2" t="s">
        <v>44</v>
      </c>
    </row>
    <row r="29" spans="1:7" ht="12.75">
      <c r="A29" s="3" t="s">
        <v>42</v>
      </c>
      <c r="B29" s="17">
        <f>0.1*B27</f>
        <v>0.036132</v>
      </c>
      <c r="F29">
        <v>23</v>
      </c>
      <c r="G29" t="s">
        <v>8</v>
      </c>
    </row>
    <row r="30" spans="1:7" ht="12.75">
      <c r="A30" s="3" t="s">
        <v>39</v>
      </c>
      <c r="B30" s="17">
        <f>SUM(B27+B29)</f>
        <v>0.39745199999999997</v>
      </c>
      <c r="F30">
        <v>7</v>
      </c>
      <c r="G30" t="s">
        <v>12</v>
      </c>
    </row>
    <row r="31" spans="1:7" ht="12.75">
      <c r="A31" s="3" t="s">
        <v>43</v>
      </c>
      <c r="B31" s="17">
        <f>0.1*B30</f>
        <v>0.0397452</v>
      </c>
      <c r="F31" s="9">
        <f>F29/F30</f>
        <v>3.2857142857142856</v>
      </c>
      <c r="G31" t="s">
        <v>16</v>
      </c>
    </row>
    <row r="32" spans="2:7" ht="12.75">
      <c r="B32" s="17"/>
      <c r="F32">
        <v>1086</v>
      </c>
      <c r="G32" t="s">
        <v>18</v>
      </c>
    </row>
    <row r="33" spans="1:7" ht="12.75">
      <c r="A33" s="10" t="s">
        <v>45</v>
      </c>
      <c r="B33" s="18">
        <f>B30+B31</f>
        <v>0.43719719999999995</v>
      </c>
      <c r="F33" s="11">
        <f>F30*F32/1000</f>
        <v>7.602</v>
      </c>
      <c r="G33" t="s">
        <v>20</v>
      </c>
    </row>
    <row r="34" spans="6:7" ht="12.75">
      <c r="F34">
        <v>0.32</v>
      </c>
      <c r="G34" t="s">
        <v>22</v>
      </c>
    </row>
    <row r="35" spans="1:7" ht="12.75">
      <c r="A35" s="3" t="s">
        <v>68</v>
      </c>
      <c r="B35" s="19">
        <f>tri!B8</f>
        <v>0.12002025069631322</v>
      </c>
      <c r="F35" s="5">
        <f>F33*F34</f>
        <v>2.43264</v>
      </c>
      <c r="G35" t="s">
        <v>23</v>
      </c>
    </row>
    <row r="36" ht="12.75"/>
    <row r="37" ht="12.75"/>
    <row r="38" spans="1:10" ht="12.75">
      <c r="A38" s="8" t="s">
        <v>46</v>
      </c>
      <c r="E38" s="4" t="s">
        <v>47</v>
      </c>
      <c r="F38" s="4"/>
      <c r="G38" s="4"/>
      <c r="H38" s="4"/>
      <c r="I38" s="4"/>
      <c r="J38" s="4"/>
    </row>
    <row r="39" spans="1:5" ht="12.75">
      <c r="A39" s="4" t="s">
        <v>49</v>
      </c>
      <c r="E39" s="4" t="s">
        <v>48</v>
      </c>
    </row>
    <row r="40" spans="5:14" ht="12.75">
      <c r="E40" s="4" t="s">
        <v>50</v>
      </c>
      <c r="F40" s="4"/>
      <c r="G40" s="4"/>
      <c r="H40" s="4"/>
      <c r="I40" s="4"/>
      <c r="J40" s="4"/>
      <c r="K40" s="4"/>
      <c r="L40" s="4"/>
      <c r="M40" s="4"/>
      <c r="N40" s="4"/>
    </row>
    <row r="42" spans="2:8" ht="12.75">
      <c r="B42" s="4"/>
      <c r="F42" s="4"/>
      <c r="G42" s="4"/>
      <c r="H42" s="4"/>
    </row>
  </sheetData>
  <mergeCells count="2">
    <mergeCell ref="A1:D1"/>
    <mergeCell ref="E1:H1"/>
  </mergeCells>
  <hyperlinks>
    <hyperlink ref="A5" r:id="rId1" display="Arrete_Conditions_achat_electricite_14012010.pdf"/>
    <hyperlink ref="H6" r:id="rId2" display="Solaire Direct"/>
    <hyperlink ref="H21" r:id="rId3" display="Solaire Direct"/>
    <hyperlink ref="F26" r:id="rId4" display="Photovoltaïque Info"/>
    <hyperlink ref="G28" r:id="rId5" display="http://photosol.fr/index.php?p=volta"/>
    <hyperlink ref="A38" r:id="rId6" display="http://pvagri.canalblog.com/archives/accueil/index.html"/>
    <hyperlink ref="E38" r:id="rId7" display="PVGIS Estimation d'électricité PV selon situation géographique"/>
    <hyperlink ref="E39" r:id="rId8" display="http://ines.solaire.free.fr/pvreseau_1.php"/>
    <hyperlink ref="A39" r:id="rId9" display="http://sfp.in2p3.fr/Debat/debat_energie/websfp/jourde.htm"/>
    <hyperlink ref="E40" r:id="rId10" display="33598690.htm"/>
    <hyperlink ref="E13" r:id="rId11" display="Si vous n'êtes pas familier avec les calculs économiques voir ce cours. "/>
  </hyperlinks>
  <printOptions/>
  <pageMargins left="0.75" right="0.75" top="1" bottom="1" header="0.5" footer="0.5"/>
  <pageSetup orientation="portrait" paperSize="9"/>
  <legacyDrawing r:id="rId13"/>
</worksheet>
</file>

<file path=xl/worksheets/sheet4.xml><?xml version="1.0" encoding="utf-8"?>
<worksheet xmlns="http://schemas.openxmlformats.org/spreadsheetml/2006/main" xmlns:r="http://schemas.openxmlformats.org/officeDocument/2006/relationships">
  <dimension ref="A1:AF32"/>
  <sheetViews>
    <sheetView workbookViewId="0" topLeftCell="A1">
      <selection activeCell="B9" sqref="B9"/>
    </sheetView>
  </sheetViews>
  <sheetFormatPr defaultColWidth="9.140625" defaultRowHeight="12.75"/>
  <cols>
    <col min="1" max="1" width="42.57421875" style="3" customWidth="1"/>
    <col min="2" max="2" width="11.00390625" style="0" customWidth="1"/>
    <col min="3" max="3" width="14.7109375" style="0" customWidth="1"/>
  </cols>
  <sheetData>
    <row r="1" spans="1:5" ht="42" customHeight="1">
      <c r="A1" s="33" t="s">
        <v>64</v>
      </c>
      <c r="B1" s="33"/>
      <c r="C1" s="33"/>
      <c r="D1" s="33"/>
      <c r="E1" s="33"/>
    </row>
    <row r="2" spans="2:32" ht="12.75">
      <c r="B2">
        <v>-1</v>
      </c>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row>
    <row r="3" spans="1:32" ht="12.75">
      <c r="A3" s="3" t="s">
        <v>51</v>
      </c>
      <c r="C3" s="18">
        <f>data!B6</f>
        <v>3.5168</v>
      </c>
      <c r="D3" s="18">
        <f aca="true" t="shared" si="0" ref="D3:AF3">$C$3</f>
        <v>3.5168</v>
      </c>
      <c r="E3" s="18">
        <f t="shared" si="0"/>
        <v>3.5168</v>
      </c>
      <c r="F3" s="18">
        <f t="shared" si="0"/>
        <v>3.5168</v>
      </c>
      <c r="G3" s="18">
        <f t="shared" si="0"/>
        <v>3.5168</v>
      </c>
      <c r="H3" s="18">
        <f t="shared" si="0"/>
        <v>3.5168</v>
      </c>
      <c r="I3" s="18">
        <f t="shared" si="0"/>
        <v>3.5168</v>
      </c>
      <c r="J3" s="18">
        <f t="shared" si="0"/>
        <v>3.5168</v>
      </c>
      <c r="K3" s="18">
        <f t="shared" si="0"/>
        <v>3.5168</v>
      </c>
      <c r="L3" s="18">
        <f t="shared" si="0"/>
        <v>3.5168</v>
      </c>
      <c r="M3" s="18">
        <f t="shared" si="0"/>
        <v>3.5168</v>
      </c>
      <c r="N3" s="18">
        <f t="shared" si="0"/>
        <v>3.5168</v>
      </c>
      <c r="O3" s="18">
        <f t="shared" si="0"/>
        <v>3.5168</v>
      </c>
      <c r="P3" s="18">
        <f t="shared" si="0"/>
        <v>3.5168</v>
      </c>
      <c r="Q3" s="18">
        <f t="shared" si="0"/>
        <v>3.5168</v>
      </c>
      <c r="R3" s="18">
        <f t="shared" si="0"/>
        <v>3.5168</v>
      </c>
      <c r="S3" s="18">
        <f t="shared" si="0"/>
        <v>3.5168</v>
      </c>
      <c r="T3" s="18">
        <f t="shared" si="0"/>
        <v>3.5168</v>
      </c>
      <c r="U3" s="18">
        <f t="shared" si="0"/>
        <v>3.5168</v>
      </c>
      <c r="V3" s="18">
        <f t="shared" si="0"/>
        <v>3.5168</v>
      </c>
      <c r="W3" s="18">
        <f t="shared" si="0"/>
        <v>3.5168</v>
      </c>
      <c r="X3" s="18">
        <f t="shared" si="0"/>
        <v>3.5168</v>
      </c>
      <c r="Y3" s="18">
        <f t="shared" si="0"/>
        <v>3.5168</v>
      </c>
      <c r="Z3" s="18">
        <f t="shared" si="0"/>
        <v>3.5168</v>
      </c>
      <c r="AA3" s="18">
        <f t="shared" si="0"/>
        <v>3.5168</v>
      </c>
      <c r="AB3" s="18">
        <f t="shared" si="0"/>
        <v>3.5168</v>
      </c>
      <c r="AC3" s="18">
        <f t="shared" si="0"/>
        <v>3.5168</v>
      </c>
      <c r="AD3" s="18">
        <f t="shared" si="0"/>
        <v>3.5168</v>
      </c>
      <c r="AE3" s="18">
        <f t="shared" si="0"/>
        <v>3.5168</v>
      </c>
      <c r="AF3" s="18">
        <f t="shared" si="0"/>
        <v>3.5168</v>
      </c>
    </row>
    <row r="4" spans="1:32" ht="12.75">
      <c r="A4" s="3" t="s">
        <v>52</v>
      </c>
      <c r="C4" s="7">
        <f>data!B33</f>
        <v>0.43719719999999995</v>
      </c>
      <c r="D4" s="7">
        <f aca="true" t="shared" si="1" ref="D4:AF4">$C$4</f>
        <v>0.43719719999999995</v>
      </c>
      <c r="E4" s="7">
        <f t="shared" si="1"/>
        <v>0.43719719999999995</v>
      </c>
      <c r="F4" s="7">
        <f t="shared" si="1"/>
        <v>0.43719719999999995</v>
      </c>
      <c r="G4" s="7">
        <f t="shared" si="1"/>
        <v>0.43719719999999995</v>
      </c>
      <c r="H4" s="7">
        <f t="shared" si="1"/>
        <v>0.43719719999999995</v>
      </c>
      <c r="I4" s="7">
        <f t="shared" si="1"/>
        <v>0.43719719999999995</v>
      </c>
      <c r="J4" s="7">
        <f t="shared" si="1"/>
        <v>0.43719719999999995</v>
      </c>
      <c r="K4" s="7">
        <f t="shared" si="1"/>
        <v>0.43719719999999995</v>
      </c>
      <c r="L4" s="7">
        <f t="shared" si="1"/>
        <v>0.43719719999999995</v>
      </c>
      <c r="M4" s="7">
        <f t="shared" si="1"/>
        <v>0.43719719999999995</v>
      </c>
      <c r="N4" s="7">
        <f t="shared" si="1"/>
        <v>0.43719719999999995</v>
      </c>
      <c r="O4" s="7">
        <f t="shared" si="1"/>
        <v>0.43719719999999995</v>
      </c>
      <c r="P4" s="7">
        <f t="shared" si="1"/>
        <v>0.43719719999999995</v>
      </c>
      <c r="Q4" s="7">
        <f t="shared" si="1"/>
        <v>0.43719719999999995</v>
      </c>
      <c r="R4" s="7">
        <f t="shared" si="1"/>
        <v>0.43719719999999995</v>
      </c>
      <c r="S4" s="7">
        <f t="shared" si="1"/>
        <v>0.43719719999999995</v>
      </c>
      <c r="T4" s="7">
        <f t="shared" si="1"/>
        <v>0.43719719999999995</v>
      </c>
      <c r="U4" s="7">
        <f t="shared" si="1"/>
        <v>0.43719719999999995</v>
      </c>
      <c r="V4" s="7">
        <f t="shared" si="1"/>
        <v>0.43719719999999995</v>
      </c>
      <c r="W4" s="7">
        <f t="shared" si="1"/>
        <v>0.43719719999999995</v>
      </c>
      <c r="X4" s="7">
        <f t="shared" si="1"/>
        <v>0.43719719999999995</v>
      </c>
      <c r="Y4" s="7">
        <f t="shared" si="1"/>
        <v>0.43719719999999995</v>
      </c>
      <c r="Z4" s="7">
        <f t="shared" si="1"/>
        <v>0.43719719999999995</v>
      </c>
      <c r="AA4" s="7">
        <f t="shared" si="1"/>
        <v>0.43719719999999995</v>
      </c>
      <c r="AB4" s="7">
        <f t="shared" si="1"/>
        <v>0.43719719999999995</v>
      </c>
      <c r="AC4" s="7">
        <f t="shared" si="1"/>
        <v>0.43719719999999995</v>
      </c>
      <c r="AD4" s="7">
        <f t="shared" si="1"/>
        <v>0.43719719999999995</v>
      </c>
      <c r="AE4" s="7">
        <f t="shared" si="1"/>
        <v>0.43719719999999995</v>
      </c>
      <c r="AF4" s="7">
        <f t="shared" si="1"/>
        <v>0.43719719999999995</v>
      </c>
    </row>
    <row r="5" spans="1:32" ht="12.75">
      <c r="A5" s="3" t="s">
        <v>53</v>
      </c>
      <c r="C5" s="18">
        <f aca="true" t="shared" si="2" ref="C5:AF5">C3-C4</f>
        <v>3.0796028</v>
      </c>
      <c r="D5" s="18">
        <f t="shared" si="2"/>
        <v>3.0796028</v>
      </c>
      <c r="E5" s="18">
        <f t="shared" si="2"/>
        <v>3.0796028</v>
      </c>
      <c r="F5" s="18">
        <f t="shared" si="2"/>
        <v>3.0796028</v>
      </c>
      <c r="G5" s="18">
        <f t="shared" si="2"/>
        <v>3.0796028</v>
      </c>
      <c r="H5" s="18">
        <f t="shared" si="2"/>
        <v>3.0796028</v>
      </c>
      <c r="I5" s="18">
        <f t="shared" si="2"/>
        <v>3.0796028</v>
      </c>
      <c r="J5" s="18">
        <f t="shared" si="2"/>
        <v>3.0796028</v>
      </c>
      <c r="K5" s="18">
        <f t="shared" si="2"/>
        <v>3.0796028</v>
      </c>
      <c r="L5" s="18">
        <f t="shared" si="2"/>
        <v>3.0796028</v>
      </c>
      <c r="M5" s="18">
        <f t="shared" si="2"/>
        <v>3.0796028</v>
      </c>
      <c r="N5" s="18">
        <f t="shared" si="2"/>
        <v>3.0796028</v>
      </c>
      <c r="O5" s="18">
        <f t="shared" si="2"/>
        <v>3.0796028</v>
      </c>
      <c r="P5" s="18">
        <f t="shared" si="2"/>
        <v>3.0796028</v>
      </c>
      <c r="Q5" s="18">
        <f t="shared" si="2"/>
        <v>3.0796028</v>
      </c>
      <c r="R5" s="18">
        <f t="shared" si="2"/>
        <v>3.0796028</v>
      </c>
      <c r="S5" s="18">
        <f t="shared" si="2"/>
        <v>3.0796028</v>
      </c>
      <c r="T5" s="18">
        <f t="shared" si="2"/>
        <v>3.0796028</v>
      </c>
      <c r="U5" s="18">
        <f t="shared" si="2"/>
        <v>3.0796028</v>
      </c>
      <c r="V5" s="18">
        <f t="shared" si="2"/>
        <v>3.0796028</v>
      </c>
      <c r="W5" s="18">
        <f t="shared" si="2"/>
        <v>3.0796028</v>
      </c>
      <c r="X5" s="18">
        <f t="shared" si="2"/>
        <v>3.0796028</v>
      </c>
      <c r="Y5" s="18">
        <f t="shared" si="2"/>
        <v>3.0796028</v>
      </c>
      <c r="Z5" s="18">
        <f t="shared" si="2"/>
        <v>3.0796028</v>
      </c>
      <c r="AA5" s="18">
        <f t="shared" si="2"/>
        <v>3.0796028</v>
      </c>
      <c r="AB5" s="18">
        <f t="shared" si="2"/>
        <v>3.0796028</v>
      </c>
      <c r="AC5" s="18">
        <f t="shared" si="2"/>
        <v>3.0796028</v>
      </c>
      <c r="AD5" s="18">
        <f t="shared" si="2"/>
        <v>3.0796028</v>
      </c>
      <c r="AE5" s="18">
        <f t="shared" si="2"/>
        <v>3.0796028</v>
      </c>
      <c r="AF5" s="18">
        <f t="shared" si="2"/>
        <v>3.0796028</v>
      </c>
    </row>
    <row r="6" spans="1:2" ht="12.75">
      <c r="A6" s="3" t="s">
        <v>54</v>
      </c>
      <c r="B6" s="23">
        <f>-data!B9</f>
        <v>-23</v>
      </c>
    </row>
    <row r="7" spans="1:32" ht="12.75">
      <c r="A7" s="3" t="s">
        <v>65</v>
      </c>
      <c r="B7" s="23">
        <f aca="true" t="shared" si="3" ref="B7:AF7">B5+B6</f>
        <v>-23</v>
      </c>
      <c r="C7" s="18">
        <f t="shared" si="3"/>
        <v>3.0796028</v>
      </c>
      <c r="D7" s="18">
        <f t="shared" si="3"/>
        <v>3.0796028</v>
      </c>
      <c r="E7" s="18">
        <f t="shared" si="3"/>
        <v>3.0796028</v>
      </c>
      <c r="F7" s="18">
        <f t="shared" si="3"/>
        <v>3.0796028</v>
      </c>
      <c r="G7" s="18">
        <f t="shared" si="3"/>
        <v>3.0796028</v>
      </c>
      <c r="H7" s="18">
        <f t="shared" si="3"/>
        <v>3.0796028</v>
      </c>
      <c r="I7" s="18">
        <f t="shared" si="3"/>
        <v>3.0796028</v>
      </c>
      <c r="J7" s="18">
        <f t="shared" si="3"/>
        <v>3.0796028</v>
      </c>
      <c r="K7" s="18">
        <f t="shared" si="3"/>
        <v>3.0796028</v>
      </c>
      <c r="L7" s="18">
        <f t="shared" si="3"/>
        <v>3.0796028</v>
      </c>
      <c r="M7" s="18">
        <f t="shared" si="3"/>
        <v>3.0796028</v>
      </c>
      <c r="N7" s="18">
        <f t="shared" si="3"/>
        <v>3.0796028</v>
      </c>
      <c r="O7" s="18">
        <f t="shared" si="3"/>
        <v>3.0796028</v>
      </c>
      <c r="P7" s="18">
        <f t="shared" si="3"/>
        <v>3.0796028</v>
      </c>
      <c r="Q7" s="18">
        <f t="shared" si="3"/>
        <v>3.0796028</v>
      </c>
      <c r="R7" s="18">
        <f t="shared" si="3"/>
        <v>3.0796028</v>
      </c>
      <c r="S7" s="18">
        <f t="shared" si="3"/>
        <v>3.0796028</v>
      </c>
      <c r="T7" s="18">
        <f t="shared" si="3"/>
        <v>3.0796028</v>
      </c>
      <c r="U7" s="18">
        <f t="shared" si="3"/>
        <v>3.0796028</v>
      </c>
      <c r="V7" s="18">
        <f t="shared" si="3"/>
        <v>3.0796028</v>
      </c>
      <c r="W7" s="18">
        <f t="shared" si="3"/>
        <v>3.0796028</v>
      </c>
      <c r="X7" s="18">
        <f t="shared" si="3"/>
        <v>3.0796028</v>
      </c>
      <c r="Y7" s="18">
        <f t="shared" si="3"/>
        <v>3.0796028</v>
      </c>
      <c r="Z7" s="18">
        <f t="shared" si="3"/>
        <v>3.0796028</v>
      </c>
      <c r="AA7" s="18">
        <f t="shared" si="3"/>
        <v>3.0796028</v>
      </c>
      <c r="AB7" s="18">
        <f t="shared" si="3"/>
        <v>3.0796028</v>
      </c>
      <c r="AC7" s="18">
        <f t="shared" si="3"/>
        <v>3.0796028</v>
      </c>
      <c r="AD7" s="18">
        <f t="shared" si="3"/>
        <v>3.0796028</v>
      </c>
      <c r="AE7" s="18">
        <f t="shared" si="3"/>
        <v>3.0796028</v>
      </c>
      <c r="AF7" s="18">
        <f t="shared" si="3"/>
        <v>3.0796028</v>
      </c>
    </row>
    <row r="8" spans="1:3" ht="12.75">
      <c r="A8" s="3" t="s">
        <v>62</v>
      </c>
      <c r="B8" s="19">
        <f>IRR(B7:V7,0.01)</f>
        <v>0.12002025069631322</v>
      </c>
      <c r="C8" s="12"/>
    </row>
    <row r="9" spans="1:2" ht="12.75">
      <c r="A9" s="3" t="s">
        <v>55</v>
      </c>
      <c r="B9" s="20">
        <v>0.06</v>
      </c>
    </row>
    <row r="10" spans="1:3" ht="12.75">
      <c r="A10" s="3" t="str">
        <f>"VAN à "&amp;100*B9&amp;"% (millions€)"</f>
        <v>VAN à 6% (millions€)</v>
      </c>
      <c r="B10" s="18">
        <f>NPV(B9,B7:AF7)</f>
        <v>18.292653354390595</v>
      </c>
      <c r="C10" t="s">
        <v>56</v>
      </c>
    </row>
    <row r="11" ht="12.75">
      <c r="C11" s="21">
        <f>1000000*B10/AF2</f>
        <v>609755.1118130198</v>
      </c>
    </row>
    <row r="12" spans="1:2" ht="12.75">
      <c r="A12" s="3" t="s">
        <v>57</v>
      </c>
      <c r="B12" s="16">
        <v>0.33</v>
      </c>
    </row>
    <row r="13" spans="1:2" ht="12.75">
      <c r="A13" s="3" t="s">
        <v>58</v>
      </c>
      <c r="B13" s="20">
        <v>0.04</v>
      </c>
    </row>
    <row r="14" spans="1:2" ht="12.75">
      <c r="A14" s="3" t="s">
        <v>59</v>
      </c>
      <c r="B14" s="20">
        <f>(B8-(B13*(1-B12)))/B12</f>
        <v>0.28248560817064616</v>
      </c>
    </row>
    <row r="25" ht="33.75" customHeight="1">
      <c r="A25" s="25" t="s">
        <v>67</v>
      </c>
    </row>
    <row r="32" ht="12.75">
      <c r="A32" s="24"/>
    </row>
  </sheetData>
  <mergeCells count="1">
    <mergeCell ref="A1:E1"/>
  </mergeCells>
  <hyperlinks>
    <hyperlink ref="A25" r:id="rId1" display="Si vous n'êtes pas familier avec les calculs économiques voir ce cours. "/>
  </hyperlinks>
  <printOptions/>
  <pageMargins left="0.75" right="0.75" top="1" bottom="1" header="0.5" footer="0.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ratcliffe</dc:creator>
  <cp:keywords/>
  <dc:description/>
  <cp:lastModifiedBy>Utilisateur Windows</cp:lastModifiedBy>
  <dcterms:created xsi:type="dcterms:W3CDTF">2010-01-12T11:56:59Z</dcterms:created>
  <dcterms:modified xsi:type="dcterms:W3CDTF">2017-03-07T15:12:09Z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